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6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Arkusz1!$B$1:$T$49</definedName>
  </definedNames>
  <calcPr calcId="124519" iterateDelta="1E-4"/>
</workbook>
</file>

<file path=xl/calcChain.xml><?xml version="1.0" encoding="utf-8"?>
<calcChain xmlns="http://schemas.openxmlformats.org/spreadsheetml/2006/main">
  <c r="F12" i="2"/>
  <c r="E18"/>
  <c r="F18"/>
  <c r="K14"/>
  <c r="L14"/>
  <c r="L8"/>
  <c r="J9"/>
  <c r="H42"/>
  <c r="D33"/>
  <c r="D43" s="1"/>
  <c r="F33"/>
  <c r="J12"/>
  <c r="E12"/>
  <c r="I12" s="1"/>
  <c r="L11"/>
  <c r="E42"/>
  <c r="G42" s="1"/>
  <c r="J35"/>
  <c r="I35" s="1"/>
  <c r="H35"/>
  <c r="G35" s="1"/>
  <c r="F35"/>
  <c r="K34"/>
  <c r="L34"/>
  <c r="I34"/>
  <c r="J34"/>
  <c r="G34"/>
  <c r="H34"/>
  <c r="D16"/>
  <c r="F16" s="1"/>
  <c r="H23"/>
  <c r="G23" s="1"/>
  <c r="G29" s="1"/>
  <c r="L23"/>
  <c r="K23" s="1"/>
  <c r="K29" s="1"/>
  <c r="J23"/>
  <c r="I23" s="1"/>
  <c r="I29" s="1"/>
  <c r="F10"/>
  <c r="L10" s="1"/>
  <c r="L19" s="1"/>
  <c r="F7"/>
  <c r="J7" s="1"/>
  <c r="J6"/>
  <c r="I6"/>
  <c r="E39"/>
  <c r="O39" s="1"/>
  <c r="E17"/>
  <c r="D17" s="1"/>
  <c r="F17" s="1"/>
  <c r="F38"/>
  <c r="R38" s="1"/>
  <c r="R43" s="1"/>
  <c r="E5"/>
  <c r="M5" s="1"/>
  <c r="F5"/>
  <c r="N5" s="1"/>
  <c r="E6"/>
  <c r="E7"/>
  <c r="I7" s="1"/>
  <c r="E8"/>
  <c r="K8" s="1"/>
  <c r="E9"/>
  <c r="I9" s="1"/>
  <c r="E10"/>
  <c r="K10" s="1"/>
  <c r="E11"/>
  <c r="K11" s="1"/>
  <c r="E15"/>
  <c r="I15"/>
  <c r="E16"/>
  <c r="G16"/>
  <c r="D18"/>
  <c r="O19"/>
  <c r="Q19"/>
  <c r="S19"/>
  <c r="E23"/>
  <c r="F24"/>
  <c r="E24" s="1"/>
  <c r="F25"/>
  <c r="E25" s="1"/>
  <c r="F26"/>
  <c r="E26" s="1"/>
  <c r="M29"/>
  <c r="F27"/>
  <c r="E27" s="1"/>
  <c r="O29"/>
  <c r="E28"/>
  <c r="F28" s="1"/>
  <c r="J28" s="1"/>
  <c r="D29"/>
  <c r="H29"/>
  <c r="Q29"/>
  <c r="R29"/>
  <c r="S29"/>
  <c r="T29"/>
  <c r="E34"/>
  <c r="E35"/>
  <c r="F36"/>
  <c r="E36" s="1"/>
  <c r="J36"/>
  <c r="I36" s="1"/>
  <c r="F37"/>
  <c r="E37" s="1"/>
  <c r="K37" s="1"/>
  <c r="F40"/>
  <c r="E40" s="1"/>
  <c r="P40"/>
  <c r="O40" s="1"/>
  <c r="F41"/>
  <c r="E41" s="1"/>
  <c r="N43"/>
  <c r="P43"/>
  <c r="S43"/>
  <c r="T43"/>
  <c r="E38" l="1"/>
  <c r="Q38" s="1"/>
  <c r="D19"/>
  <c r="L37"/>
  <c r="H16"/>
  <c r="M19"/>
  <c r="M43"/>
  <c r="D47"/>
  <c r="Q43"/>
  <c r="Q47" s="1"/>
  <c r="G43"/>
  <c r="I43"/>
  <c r="I19"/>
  <c r="O43"/>
  <c r="O47" s="1"/>
  <c r="H19"/>
  <c r="F43"/>
  <c r="E43"/>
  <c r="S47"/>
  <c r="H43"/>
  <c r="J43"/>
  <c r="F19"/>
  <c r="R17"/>
  <c r="R19" s="1"/>
  <c r="R47" s="1"/>
  <c r="T17"/>
  <c r="T19" s="1"/>
  <c r="T47" s="1"/>
  <c r="N17"/>
  <c r="N19" s="1"/>
  <c r="P17"/>
  <c r="P19" s="1"/>
  <c r="F29"/>
  <c r="K19"/>
  <c r="E29"/>
  <c r="E19"/>
  <c r="G19"/>
  <c r="L43"/>
  <c r="J19"/>
  <c r="K43" l="1"/>
  <c r="K47" s="1"/>
  <c r="I47"/>
  <c r="M47"/>
  <c r="H47"/>
  <c r="G47"/>
  <c r="E47"/>
  <c r="L28"/>
  <c r="L29" s="1"/>
  <c r="L47" s="1"/>
  <c r="N28"/>
  <c r="N29" s="1"/>
  <c r="N47" s="1"/>
  <c r="P28"/>
  <c r="P29" s="1"/>
  <c r="P47" s="1"/>
  <c r="J29"/>
  <c r="J47" s="1"/>
  <c r="F47"/>
</calcChain>
</file>

<file path=xl/sharedStrings.xml><?xml version="1.0" encoding="utf-8"?>
<sst xmlns="http://schemas.openxmlformats.org/spreadsheetml/2006/main" count="159" uniqueCount="73">
  <si>
    <t>INWESTYCJE DROGOWE</t>
  </si>
  <si>
    <t>wartość inwestycji, w tym:</t>
  </si>
  <si>
    <t>Nazwa zadania</t>
  </si>
  <si>
    <t>źródło dofinansowania</t>
  </si>
  <si>
    <t>całkowita</t>
  </si>
  <si>
    <t>wkład własny</t>
  </si>
  <si>
    <t>dofinansowanie</t>
  </si>
  <si>
    <t>1.</t>
  </si>
  <si>
    <t>Przebudowa ul. 1-Maja w Malczycach</t>
  </si>
  <si>
    <t>2.</t>
  </si>
  <si>
    <t>Przebudowa ul. Górnej w Mazurowicach</t>
  </si>
  <si>
    <t>PROW 2014-2020</t>
  </si>
  <si>
    <t>3.</t>
  </si>
  <si>
    <t>Przebudowa ul. Strażackiej w Malczycach</t>
  </si>
  <si>
    <t>PROW 2104-2020</t>
  </si>
  <si>
    <t>4.</t>
  </si>
  <si>
    <t>Przebudowa ul. Szkolnej w Rusku</t>
  </si>
  <si>
    <t>5.</t>
  </si>
  <si>
    <t>Przebudowa ul. Nowy Świat w Chomiąży</t>
  </si>
  <si>
    <t>6.</t>
  </si>
  <si>
    <t>Przebudowa ul. Leśnej, Górnej, Przelotowej w Kwietnie</t>
  </si>
  <si>
    <t>7.</t>
  </si>
  <si>
    <t>Przebudowa ul. Mazurowickiej w Malczycach (do skrzyżowania z drogą krajową 94)</t>
  </si>
  <si>
    <t>8.</t>
  </si>
  <si>
    <t>9.</t>
  </si>
  <si>
    <t>Budowa chodnika przy ul. Sienkiewicza w Malczycach</t>
  </si>
  <si>
    <t>PROW 2014-2020, powiat średzki</t>
  </si>
  <si>
    <t>10.</t>
  </si>
  <si>
    <t>Budowa chodnika przy drodze powiatowej w Dębicach</t>
  </si>
  <si>
    <t>11.</t>
  </si>
  <si>
    <t>Budowa chodnika przy drodze powiatowej w Chomiąży</t>
  </si>
  <si>
    <t>12.</t>
  </si>
  <si>
    <t>Budowa chodnika w Wilczkowie przy drodze wojewódzkiej nr 345</t>
  </si>
  <si>
    <t>DSDiK</t>
  </si>
  <si>
    <t>14.</t>
  </si>
  <si>
    <t>15.</t>
  </si>
  <si>
    <t>Przebudowa dróg transportu rolnego na terenie gminy</t>
  </si>
  <si>
    <t>Fundusz Rolny</t>
  </si>
  <si>
    <t>RAZEM INWESTYCJE DROGOWE</t>
  </si>
  <si>
    <t>INWESTYCJE WOD-KAN</t>
  </si>
  <si>
    <t>Modernizacja Oczyszczalni Ścieków w Malczycach</t>
  </si>
  <si>
    <t>RPO</t>
  </si>
  <si>
    <t>Kanalizacja miejscowości Rusko</t>
  </si>
  <si>
    <t xml:space="preserve">Kanalizacja miejscowości  Wilczków </t>
  </si>
  <si>
    <t>Kanalizacja miejscowości  Kwietno</t>
  </si>
  <si>
    <t>Kanalizacja miejscowości  Dębice</t>
  </si>
  <si>
    <t>PROW</t>
  </si>
  <si>
    <t>RAZEM INWESTYCJE WOD-KAN</t>
  </si>
  <si>
    <t>POZOSTAŁE INWESTYCJE</t>
  </si>
  <si>
    <t>Rekultywacja wysypiska śmieci w Rusku</t>
  </si>
  <si>
    <t>RPO WD</t>
  </si>
  <si>
    <t>Modernizacja GOK w Malczycach</t>
  </si>
  <si>
    <t>Budowa świetlicy w Rusku</t>
  </si>
  <si>
    <t>Rozbudowa bazy sportowej w Malczycach - ul. Polna</t>
  </si>
  <si>
    <t>MsiT</t>
  </si>
  <si>
    <t>Zagospodarowanie terenu targowiska w Malczycach</t>
  </si>
  <si>
    <t>Modernizacja cmentarza komunalnego w Malczycach</t>
  </si>
  <si>
    <t>RAZEM INWESTYCJE POZOSTAŁE</t>
  </si>
  <si>
    <t>RAZEM INWESTYCJE</t>
  </si>
  <si>
    <t>Budowa przydomowych oczyszczalni ścieków w miejscowościach poza aglomeracją</t>
  </si>
  <si>
    <t>NFOŚiGW, WFOŚiGW</t>
  </si>
  <si>
    <t>Rozbudowa świetlicy wiejskiej w Rachowie</t>
  </si>
  <si>
    <t>PROW 2014-2021</t>
  </si>
  <si>
    <t>Przebudowa dróg i chodników na terenie gminy</t>
  </si>
  <si>
    <t>Budowa boiska sportowego w Wilczkowie</t>
  </si>
  <si>
    <t>PRGiPID 2016-2019</t>
  </si>
  <si>
    <t>PRGiPID 2016-2019, powiat średzki</t>
  </si>
  <si>
    <t>Termomodernizacja budynków użyteczności publicznej (Szkoła Podstawowa, Gimnazjum, Przedszkole)</t>
  </si>
  <si>
    <t>Budowa świetlicy wiejskiej w Mazurowicach</t>
  </si>
  <si>
    <t>Odnowa Dolnosląskiej Wsi</t>
  </si>
  <si>
    <t>Przebudowa drogi powiatowej na odcinku Szymanów - Zawadka</t>
  </si>
  <si>
    <t>PROW 2104-2020, powiat średzki</t>
  </si>
  <si>
    <t>Załącznik do Uchwały nr ……….. Rady Gminy Malczyce z dnia 30 sierpnia 2016 r.</t>
  </si>
</sst>
</file>

<file path=xl/styles.xml><?xml version="1.0" encoding="utf-8"?>
<styleSheet xmlns="http://schemas.openxmlformats.org/spreadsheetml/2006/main">
  <fonts count="9"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indexed="4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/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4" fillId="0" borderId="0" xfId="0" applyNumberFormat="1" applyFont="1"/>
    <xf numFmtId="0" fontId="5" fillId="0" borderId="0" xfId="0" applyFont="1"/>
    <xf numFmtId="4" fontId="1" fillId="0" borderId="2" xfId="0" applyNumberFormat="1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wrapText="1"/>
    </xf>
    <xf numFmtId="3" fontId="1" fillId="0" borderId="2" xfId="0" applyNumberFormat="1" applyFont="1" applyFill="1" applyBorder="1"/>
    <xf numFmtId="4" fontId="5" fillId="0" borderId="0" xfId="0" applyNumberFormat="1" applyFont="1"/>
    <xf numFmtId="4" fontId="1" fillId="0" borderId="0" xfId="0" applyNumberFormat="1" applyFont="1" applyFill="1"/>
    <xf numFmtId="4" fontId="1" fillId="0" borderId="2" xfId="0" applyNumberFormat="1" applyFont="1" applyBorder="1"/>
    <xf numFmtId="3" fontId="1" fillId="0" borderId="0" xfId="0" applyNumberFormat="1" applyFont="1"/>
    <xf numFmtId="3" fontId="6" fillId="0" borderId="0" xfId="0" applyNumberFormat="1" applyFont="1"/>
    <xf numFmtId="4" fontId="1" fillId="0" borderId="0" xfId="0" applyNumberFormat="1" applyFont="1" applyAlignment="1">
      <alignment wrapText="1"/>
    </xf>
    <xf numFmtId="4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0" fillId="0" borderId="0" xfId="0" applyFill="1"/>
    <xf numFmtId="4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4" fontId="4" fillId="0" borderId="0" xfId="0" applyNumberFormat="1" applyFont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wrapText="1"/>
    </xf>
    <xf numFmtId="0" fontId="0" fillId="0" borderId="2" xfId="0" applyBorder="1"/>
    <xf numFmtId="4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/>
    <xf numFmtId="4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0" fontId="0" fillId="0" borderId="0" xfId="0" applyAlignment="1"/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wrapText="1"/>
    </xf>
    <xf numFmtId="1" fontId="4" fillId="2" borderId="7" xfId="0" applyNumberFormat="1" applyFont="1" applyFill="1" applyBorder="1" applyAlignment="1">
      <alignment horizontal="center" wrapText="1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5" defaultRowHeight="14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8"/>
  <sheetViews>
    <sheetView tabSelected="1" topLeftCell="A31" zoomScale="90" zoomScaleNormal="90" workbookViewId="0">
      <selection activeCell="E42" sqref="E42"/>
    </sheetView>
  </sheetViews>
  <sheetFormatPr defaultColWidth="11.875" defaultRowHeight="14.25"/>
  <cols>
    <col min="1" max="1" width="3.25" customWidth="1"/>
    <col min="2" max="2" width="21.875" style="1" customWidth="1"/>
    <col min="3" max="3" width="14" style="1" customWidth="1"/>
    <col min="4" max="4" width="10.125" style="1" customWidth="1"/>
    <col min="5" max="5" width="10.5" style="1" customWidth="1"/>
    <col min="6" max="6" width="9.5" style="1" customWidth="1"/>
    <col min="7" max="7" width="10.125" style="1" customWidth="1"/>
    <col min="8" max="8" width="9.25" style="1" customWidth="1"/>
    <col min="9" max="9" width="9.125" style="1" customWidth="1"/>
    <col min="10" max="10" width="10.625" style="1" customWidth="1"/>
    <col min="11" max="11" width="9.125" style="1" customWidth="1"/>
    <col min="12" max="12" width="10" style="1" customWidth="1"/>
    <col min="13" max="19" width="9.125" style="1" customWidth="1"/>
    <col min="20" max="20" width="8.75" style="1" customWidth="1"/>
    <col min="21" max="16384" width="11.875" style="1"/>
  </cols>
  <sheetData>
    <row r="1" spans="1:58" s="2" customFormat="1" ht="31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0" t="s">
        <v>72</v>
      </c>
      <c r="Q1" s="51"/>
      <c r="R1" s="51"/>
      <c r="S1" s="51"/>
      <c r="T1" s="51"/>
    </row>
    <row r="2" spans="1:58" ht="5.25" customHeight="1">
      <c r="B2" s="4"/>
      <c r="C2" s="5"/>
      <c r="D2" s="3"/>
      <c r="E2" s="3"/>
      <c r="F2" s="3"/>
      <c r="G2" s="5"/>
      <c r="H2" s="5"/>
      <c r="I2" s="5"/>
      <c r="J2" s="5"/>
      <c r="K2" s="5"/>
      <c r="L2" s="5"/>
    </row>
    <row r="3" spans="1:58" s="33" customFormat="1" ht="30" customHeight="1">
      <c r="B3" s="48" t="s">
        <v>0</v>
      </c>
      <c r="C3" s="48"/>
      <c r="D3" s="48" t="s">
        <v>1</v>
      </c>
      <c r="E3" s="48"/>
      <c r="F3" s="48"/>
      <c r="G3" s="49">
        <v>2016</v>
      </c>
      <c r="H3" s="49"/>
      <c r="I3" s="49">
        <v>2017</v>
      </c>
      <c r="J3" s="49"/>
      <c r="K3" s="49">
        <v>2018</v>
      </c>
      <c r="L3" s="49"/>
      <c r="M3" s="49">
        <v>2019</v>
      </c>
      <c r="N3" s="49"/>
      <c r="O3" s="49">
        <v>2020</v>
      </c>
      <c r="P3" s="49"/>
      <c r="Q3" s="49">
        <v>2021</v>
      </c>
      <c r="R3" s="49"/>
      <c r="S3" s="49">
        <v>2022</v>
      </c>
      <c r="T3" s="49"/>
    </row>
    <row r="4" spans="1:58" s="30" customFormat="1" ht="25.5">
      <c r="A4" s="34"/>
      <c r="B4" s="35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5</v>
      </c>
      <c r="H4" s="36" t="s">
        <v>6</v>
      </c>
      <c r="I4" s="36" t="s">
        <v>5</v>
      </c>
      <c r="J4" s="36" t="s">
        <v>6</v>
      </c>
      <c r="K4" s="36" t="s">
        <v>5</v>
      </c>
      <c r="L4" s="36" t="s">
        <v>6</v>
      </c>
      <c r="M4" s="36" t="s">
        <v>5</v>
      </c>
      <c r="N4" s="36" t="s">
        <v>6</v>
      </c>
      <c r="O4" s="36" t="s">
        <v>5</v>
      </c>
      <c r="P4" s="36" t="s">
        <v>6</v>
      </c>
      <c r="Q4" s="36" t="s">
        <v>5</v>
      </c>
      <c r="R4" s="36" t="s">
        <v>6</v>
      </c>
      <c r="S4" s="36" t="s">
        <v>5</v>
      </c>
      <c r="T4" s="36" t="s">
        <v>6</v>
      </c>
    </row>
    <row r="5" spans="1:58" ht="25.5">
      <c r="A5" s="10" t="s">
        <v>7</v>
      </c>
      <c r="B5" s="11" t="s">
        <v>8</v>
      </c>
      <c r="C5" s="12" t="s">
        <v>65</v>
      </c>
      <c r="D5" s="13">
        <v>832756</v>
      </c>
      <c r="E5" s="14">
        <f>D5*50%</f>
        <v>416378</v>
      </c>
      <c r="F5" s="14">
        <f>D5*50%</f>
        <v>416378</v>
      </c>
      <c r="G5" s="20"/>
      <c r="H5" s="20"/>
      <c r="I5" s="15"/>
      <c r="J5" s="15"/>
      <c r="K5" s="14"/>
      <c r="L5" s="14"/>
      <c r="M5" s="15">
        <f>E5</f>
        <v>416378</v>
      </c>
      <c r="N5" s="15">
        <f>F5</f>
        <v>416378</v>
      </c>
      <c r="O5" s="14"/>
      <c r="P5" s="14"/>
      <c r="Q5" s="14"/>
      <c r="R5" s="14"/>
      <c r="S5" s="14"/>
      <c r="T5" s="14"/>
    </row>
    <row r="6" spans="1:58" ht="25.5">
      <c r="A6" s="10" t="s">
        <v>9</v>
      </c>
      <c r="B6" s="16" t="s">
        <v>10</v>
      </c>
      <c r="C6" s="12" t="s">
        <v>11</v>
      </c>
      <c r="D6" s="13">
        <v>383503</v>
      </c>
      <c r="E6" s="14">
        <f t="shared" ref="E6:E11" si="0">D6-F6</f>
        <v>144066</v>
      </c>
      <c r="F6" s="14">
        <v>239437</v>
      </c>
      <c r="G6" s="14"/>
      <c r="H6" s="14"/>
      <c r="I6" s="14">
        <f>E6</f>
        <v>144066</v>
      </c>
      <c r="J6" s="14">
        <f>F6</f>
        <v>239437</v>
      </c>
      <c r="K6" s="20"/>
      <c r="L6" s="20"/>
      <c r="M6" s="14"/>
      <c r="N6" s="14"/>
      <c r="O6" s="14"/>
      <c r="P6" s="14"/>
      <c r="Q6" s="14"/>
      <c r="R6" s="14"/>
      <c r="S6" s="14"/>
      <c r="T6" s="14"/>
    </row>
    <row r="7" spans="1:58" ht="25.5">
      <c r="A7" s="10" t="s">
        <v>12</v>
      </c>
      <c r="B7" s="41" t="s">
        <v>13</v>
      </c>
      <c r="C7" s="42" t="s">
        <v>65</v>
      </c>
      <c r="D7" s="43">
        <v>340771</v>
      </c>
      <c r="E7" s="44">
        <f t="shared" si="0"/>
        <v>170385.5</v>
      </c>
      <c r="F7" s="44">
        <f>D7*50%</f>
        <v>170385.5</v>
      </c>
      <c r="G7" s="45"/>
      <c r="H7" s="45"/>
      <c r="I7" s="46">
        <f>E7</f>
        <v>170385.5</v>
      </c>
      <c r="J7" s="44">
        <f>F7</f>
        <v>170385.5</v>
      </c>
      <c r="K7" s="44"/>
      <c r="L7" s="44"/>
      <c r="M7" s="14"/>
      <c r="N7" s="14"/>
      <c r="O7" s="14"/>
      <c r="P7" s="14"/>
      <c r="Q7" s="14"/>
      <c r="R7" s="14"/>
      <c r="S7" s="14"/>
      <c r="T7" s="14"/>
    </row>
    <row r="8" spans="1:58" ht="25.5">
      <c r="A8" s="10" t="s">
        <v>15</v>
      </c>
      <c r="B8" s="16" t="s">
        <v>16</v>
      </c>
      <c r="C8" s="12" t="s">
        <v>11</v>
      </c>
      <c r="D8" s="13">
        <v>2178276</v>
      </c>
      <c r="E8" s="14">
        <f t="shared" si="0"/>
        <v>792240</v>
      </c>
      <c r="F8" s="14">
        <v>1386036</v>
      </c>
      <c r="G8" s="13"/>
      <c r="H8" s="13"/>
      <c r="I8" s="14"/>
      <c r="J8" s="14"/>
      <c r="K8" s="13">
        <f>E8</f>
        <v>792240</v>
      </c>
      <c r="L8" s="13">
        <f>F8</f>
        <v>1386036</v>
      </c>
      <c r="M8" s="14"/>
      <c r="N8" s="14"/>
      <c r="O8" s="14"/>
      <c r="P8" s="14"/>
      <c r="Q8" s="14"/>
      <c r="R8" s="14"/>
      <c r="S8" s="14"/>
      <c r="T8" s="14"/>
    </row>
    <row r="9" spans="1:58" ht="25.5">
      <c r="A9" s="10" t="s">
        <v>17</v>
      </c>
      <c r="B9" s="16" t="s">
        <v>18</v>
      </c>
      <c r="C9" s="12" t="s">
        <v>14</v>
      </c>
      <c r="D9" s="13">
        <v>1471890</v>
      </c>
      <c r="E9" s="14">
        <f t="shared" si="0"/>
        <v>535327</v>
      </c>
      <c r="F9" s="14">
        <v>936563</v>
      </c>
      <c r="G9" s="13"/>
      <c r="H9" s="13"/>
      <c r="I9" s="13">
        <f>E9</f>
        <v>535327</v>
      </c>
      <c r="J9" s="13">
        <f>F9</f>
        <v>936563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58" ht="39" customHeight="1">
      <c r="A10" s="10" t="s">
        <v>19</v>
      </c>
      <c r="B10" s="41" t="s">
        <v>20</v>
      </c>
      <c r="C10" s="42" t="s">
        <v>65</v>
      </c>
      <c r="D10" s="43">
        <v>1070774</v>
      </c>
      <c r="E10" s="44">
        <f t="shared" si="0"/>
        <v>535387</v>
      </c>
      <c r="F10" s="44">
        <f>D10*50%</f>
        <v>535387</v>
      </c>
      <c r="G10" s="43"/>
      <c r="H10" s="43"/>
      <c r="I10" s="44"/>
      <c r="J10" s="44"/>
      <c r="K10" s="44">
        <f>E10</f>
        <v>535387</v>
      </c>
      <c r="L10" s="44">
        <f>F10</f>
        <v>535387</v>
      </c>
      <c r="M10" s="44"/>
      <c r="N10" s="44"/>
      <c r="O10" s="44"/>
      <c r="P10" s="14"/>
      <c r="Q10" s="14"/>
      <c r="R10" s="14"/>
      <c r="S10" s="14"/>
      <c r="T10" s="14"/>
    </row>
    <row r="11" spans="1:58" ht="57" customHeight="1">
      <c r="A11" s="10" t="s">
        <v>21</v>
      </c>
      <c r="B11" s="16" t="s">
        <v>22</v>
      </c>
      <c r="C11" s="12" t="s">
        <v>66</v>
      </c>
      <c r="D11" s="13">
        <v>2800000</v>
      </c>
      <c r="E11" s="13">
        <f t="shared" si="0"/>
        <v>700000</v>
      </c>
      <c r="F11" s="13">
        <v>2100000</v>
      </c>
      <c r="G11" s="13"/>
      <c r="H11" s="13"/>
      <c r="I11" s="13"/>
      <c r="J11" s="13"/>
      <c r="K11" s="14">
        <f>E11</f>
        <v>700000</v>
      </c>
      <c r="L11" s="14">
        <f>F11</f>
        <v>2100000</v>
      </c>
      <c r="M11" s="13"/>
      <c r="N11" s="13"/>
      <c r="O11" s="14"/>
      <c r="P11" s="14"/>
      <c r="Q11" s="14"/>
      <c r="R11" s="14"/>
      <c r="S11" s="14"/>
      <c r="T11" s="14"/>
    </row>
    <row r="12" spans="1:58" ht="38.25">
      <c r="A12" s="10" t="s">
        <v>23</v>
      </c>
      <c r="B12" s="16" t="s">
        <v>70</v>
      </c>
      <c r="C12" s="12" t="s">
        <v>71</v>
      </c>
      <c r="D12" s="13">
        <v>2382232</v>
      </c>
      <c r="E12" s="13">
        <f>D12-F12</f>
        <v>433208.77839999995</v>
      </c>
      <c r="F12" s="13">
        <f>(D12*63.63%)+433209</f>
        <v>1949023.2216</v>
      </c>
      <c r="G12" s="13"/>
      <c r="H12" s="13"/>
      <c r="I12" s="13">
        <f>E12</f>
        <v>433208.77839999995</v>
      </c>
      <c r="J12" s="13">
        <f>F12</f>
        <v>1949023.2216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58" ht="38.1" customHeight="1">
      <c r="A13" s="10" t="s">
        <v>24</v>
      </c>
      <c r="B13" s="16" t="s">
        <v>25</v>
      </c>
      <c r="C13" s="12" t="s">
        <v>26</v>
      </c>
      <c r="D13" s="13">
        <v>150000</v>
      </c>
      <c r="E13" s="13">
        <v>55000</v>
      </c>
      <c r="F13" s="13">
        <v>95000</v>
      </c>
      <c r="G13" s="13"/>
      <c r="H13" s="13"/>
      <c r="I13" s="13">
        <v>55000</v>
      </c>
      <c r="J13" s="13">
        <v>95000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BF13" s="1">
        <v>5</v>
      </c>
    </row>
    <row r="14" spans="1:58" ht="38.1" customHeight="1">
      <c r="A14" s="10" t="s">
        <v>27</v>
      </c>
      <c r="B14" s="16" t="s">
        <v>28</v>
      </c>
      <c r="C14" s="12" t="s">
        <v>26</v>
      </c>
      <c r="D14" s="13">
        <v>205000</v>
      </c>
      <c r="E14" s="13">
        <v>75000</v>
      </c>
      <c r="F14" s="13">
        <v>130000</v>
      </c>
      <c r="G14" s="13"/>
      <c r="H14" s="13"/>
      <c r="I14" s="13"/>
      <c r="J14" s="13"/>
      <c r="K14" s="13">
        <f>E14</f>
        <v>75000</v>
      </c>
      <c r="L14" s="13">
        <f>F14</f>
        <v>130000</v>
      </c>
      <c r="M14" s="13"/>
      <c r="N14" s="13"/>
      <c r="O14" s="13"/>
      <c r="P14" s="13"/>
      <c r="Q14" s="13"/>
      <c r="R14" s="13"/>
      <c r="S14" s="13"/>
      <c r="T14" s="13"/>
    </row>
    <row r="15" spans="1:58" ht="39.75" customHeight="1">
      <c r="A15" s="10" t="s">
        <v>29</v>
      </c>
      <c r="B15" s="16" t="s">
        <v>30</v>
      </c>
      <c r="C15" s="12" t="s">
        <v>26</v>
      </c>
      <c r="D15" s="13">
        <v>200000</v>
      </c>
      <c r="E15" s="13">
        <f>D15-F15</f>
        <v>80000</v>
      </c>
      <c r="F15" s="13">
        <v>120000</v>
      </c>
      <c r="G15" s="13"/>
      <c r="H15" s="13"/>
      <c r="I15" s="13">
        <f>D15-J15</f>
        <v>80000</v>
      </c>
      <c r="J15" s="13">
        <v>120000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58" ht="38.25">
      <c r="A16" s="18" t="s">
        <v>31</v>
      </c>
      <c r="B16" s="16" t="s">
        <v>32</v>
      </c>
      <c r="C16" s="12" t="s">
        <v>33</v>
      </c>
      <c r="D16" s="13">
        <f>67650+511492</f>
        <v>579142</v>
      </c>
      <c r="E16" s="13">
        <f>D16*51%</f>
        <v>295362.42</v>
      </c>
      <c r="F16" s="13">
        <f>D16*49%</f>
        <v>283779.58</v>
      </c>
      <c r="G16" s="13">
        <f>D16*0.51</f>
        <v>295362.42</v>
      </c>
      <c r="H16" s="13">
        <f>D16*0.49</f>
        <v>283779.58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6" ht="33" customHeight="1">
      <c r="A17" s="18" t="s">
        <v>34</v>
      </c>
      <c r="B17" s="16" t="s">
        <v>63</v>
      </c>
      <c r="C17" s="12" t="s">
        <v>11</v>
      </c>
      <c r="D17" s="13">
        <f>(E17*100)/37.37</f>
        <v>2140754.616002141</v>
      </c>
      <c r="E17" s="13">
        <f>M17+O17+Q17+S17</f>
        <v>800000</v>
      </c>
      <c r="F17" s="13">
        <f>D17-E17</f>
        <v>1340754.616002141</v>
      </c>
      <c r="G17" s="13"/>
      <c r="H17" s="13"/>
      <c r="I17" s="17"/>
      <c r="J17" s="17"/>
      <c r="K17" s="17"/>
      <c r="L17" s="17"/>
      <c r="M17" s="17">
        <v>200000</v>
      </c>
      <c r="N17" s="17">
        <f>F17/4</f>
        <v>335188.65400053526</v>
      </c>
      <c r="O17" s="17">
        <v>200000</v>
      </c>
      <c r="P17" s="17">
        <f>F17/4</f>
        <v>335188.65400053526</v>
      </c>
      <c r="Q17" s="17">
        <v>200000</v>
      </c>
      <c r="R17" s="17">
        <f>F17/4</f>
        <v>335188.65400053526</v>
      </c>
      <c r="S17" s="17">
        <v>200000</v>
      </c>
      <c r="T17" s="17">
        <f>F17/4</f>
        <v>335188.65400053526</v>
      </c>
      <c r="U17" s="19"/>
      <c r="V17" s="19"/>
      <c r="W17" s="19"/>
      <c r="X17" s="19"/>
      <c r="Y17" s="19"/>
      <c r="Z17" s="19"/>
    </row>
    <row r="18" spans="1:26" ht="37.5" customHeight="1">
      <c r="A18" s="18" t="s">
        <v>35</v>
      </c>
      <c r="B18" s="16" t="s">
        <v>36</v>
      </c>
      <c r="C18" s="12" t="s">
        <v>37</v>
      </c>
      <c r="D18" s="13">
        <f>E18+F18</f>
        <v>150000</v>
      </c>
      <c r="E18" s="13">
        <f>K18+M18+O18+Q18+S18</f>
        <v>100000</v>
      </c>
      <c r="F18" s="13">
        <f>L18+N18+P18+R18+T18</f>
        <v>50000</v>
      </c>
      <c r="G18" s="13"/>
      <c r="H18" s="13"/>
      <c r="I18" s="17"/>
      <c r="J18" s="17"/>
      <c r="K18" s="17">
        <v>20000</v>
      </c>
      <c r="L18" s="17">
        <v>10000</v>
      </c>
      <c r="M18" s="17">
        <v>20000</v>
      </c>
      <c r="N18" s="17">
        <v>10000</v>
      </c>
      <c r="O18" s="17">
        <v>20000</v>
      </c>
      <c r="P18" s="17">
        <v>10000</v>
      </c>
      <c r="Q18" s="17">
        <v>20000</v>
      </c>
      <c r="R18" s="17">
        <v>10000</v>
      </c>
      <c r="S18" s="17">
        <v>20000</v>
      </c>
      <c r="T18" s="17">
        <v>10000</v>
      </c>
      <c r="U18" s="19"/>
      <c r="V18" s="19"/>
      <c r="W18" s="19"/>
      <c r="X18" s="19"/>
      <c r="Y18" s="19"/>
      <c r="Z18" s="19"/>
    </row>
    <row r="19" spans="1:26" s="30" customFormat="1" ht="22.5" customHeight="1">
      <c r="B19" s="53" t="s">
        <v>38</v>
      </c>
      <c r="C19" s="54"/>
      <c r="D19" s="31">
        <f t="shared" ref="D19:T19" si="1">SUM(D5:D18)</f>
        <v>14885098.616002141</v>
      </c>
      <c r="E19" s="31">
        <f t="shared" si="1"/>
        <v>5132354.6984000001</v>
      </c>
      <c r="F19" s="31">
        <f t="shared" si="1"/>
        <v>9752743.9176021405</v>
      </c>
      <c r="G19" s="31">
        <f t="shared" si="1"/>
        <v>295362.42</v>
      </c>
      <c r="H19" s="31">
        <f t="shared" si="1"/>
        <v>283779.58</v>
      </c>
      <c r="I19" s="31">
        <f>SUM(I5:I18)</f>
        <v>1417987.2784</v>
      </c>
      <c r="J19" s="31">
        <f>SUM(J5:J18)</f>
        <v>3510408.7215999998</v>
      </c>
      <c r="K19" s="31">
        <f t="shared" si="1"/>
        <v>2122627</v>
      </c>
      <c r="L19" s="31">
        <f t="shared" si="1"/>
        <v>4161423</v>
      </c>
      <c r="M19" s="31">
        <f t="shared" si="1"/>
        <v>636378</v>
      </c>
      <c r="N19" s="31">
        <f t="shared" si="1"/>
        <v>761566.65400053526</v>
      </c>
      <c r="O19" s="31">
        <f t="shared" si="1"/>
        <v>220000</v>
      </c>
      <c r="P19" s="31">
        <f t="shared" si="1"/>
        <v>345188.65400053526</v>
      </c>
      <c r="Q19" s="31">
        <f t="shared" si="1"/>
        <v>220000</v>
      </c>
      <c r="R19" s="31">
        <f t="shared" si="1"/>
        <v>345188.65400053526</v>
      </c>
      <c r="S19" s="31">
        <f t="shared" si="1"/>
        <v>220000</v>
      </c>
      <c r="T19" s="31">
        <f t="shared" si="1"/>
        <v>345188.65400053526</v>
      </c>
      <c r="U19" s="32"/>
      <c r="V19" s="32"/>
      <c r="W19" s="32"/>
      <c r="X19" s="32"/>
      <c r="Y19" s="32"/>
      <c r="Z19" s="32"/>
    </row>
    <row r="20" spans="1:26" s="19" customFormat="1" ht="9.75" customHeight="1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6" s="33" customFormat="1" ht="29.25" customHeight="1">
      <c r="B21" s="48" t="s">
        <v>39</v>
      </c>
      <c r="C21" s="48"/>
      <c r="D21" s="48" t="s">
        <v>1</v>
      </c>
      <c r="E21" s="48"/>
      <c r="F21" s="48"/>
      <c r="G21" s="49">
        <v>2016</v>
      </c>
      <c r="H21" s="49"/>
      <c r="I21" s="49">
        <v>2017</v>
      </c>
      <c r="J21" s="49"/>
      <c r="K21" s="49">
        <v>2018</v>
      </c>
      <c r="L21" s="49"/>
      <c r="M21" s="49">
        <v>2019</v>
      </c>
      <c r="N21" s="49"/>
      <c r="O21" s="49">
        <v>2020</v>
      </c>
      <c r="P21" s="49"/>
      <c r="Q21" s="49">
        <v>2021</v>
      </c>
      <c r="R21" s="49"/>
      <c r="S21" s="49">
        <v>2022</v>
      </c>
      <c r="T21" s="49"/>
    </row>
    <row r="22" spans="1:26" s="9" customFormat="1" ht="26.25">
      <c r="A22" s="6"/>
      <c r="B22" s="7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5</v>
      </c>
      <c r="H22" s="8" t="s">
        <v>6</v>
      </c>
      <c r="I22" s="8" t="s">
        <v>5</v>
      </c>
      <c r="J22" s="8" t="s">
        <v>6</v>
      </c>
      <c r="K22" s="8" t="s">
        <v>5</v>
      </c>
      <c r="L22" s="8" t="s">
        <v>6</v>
      </c>
      <c r="M22" s="8" t="s">
        <v>5</v>
      </c>
      <c r="N22" s="8" t="s">
        <v>6</v>
      </c>
      <c r="O22" s="8" t="s">
        <v>5</v>
      </c>
      <c r="P22" s="8" t="s">
        <v>6</v>
      </c>
      <c r="Q22" s="8" t="s">
        <v>5</v>
      </c>
      <c r="R22" s="8" t="s">
        <v>6</v>
      </c>
      <c r="S22" s="8" t="s">
        <v>5</v>
      </c>
      <c r="T22" s="8" t="s">
        <v>6</v>
      </c>
    </row>
    <row r="23" spans="1:26" ht="25.5">
      <c r="B23" s="16" t="s">
        <v>40</v>
      </c>
      <c r="C23" s="16" t="s">
        <v>41</v>
      </c>
      <c r="D23" s="13">
        <v>10900351</v>
      </c>
      <c r="E23" s="13">
        <f>D23-F23</f>
        <v>2234506</v>
      </c>
      <c r="F23" s="13">
        <v>8665845</v>
      </c>
      <c r="G23" s="17">
        <f>143300-H23</f>
        <v>28944.400000000009</v>
      </c>
      <c r="H23" s="17">
        <f>(134536)*85%</f>
        <v>114355.59999999999</v>
      </c>
      <c r="I23" s="17">
        <f>6992083-J23</f>
        <v>1433615.1000000006</v>
      </c>
      <c r="J23" s="17">
        <f>6539374*85%</f>
        <v>5558467.8999999994</v>
      </c>
      <c r="K23" s="13">
        <f>3764968-L23</f>
        <v>771947.14999999991</v>
      </c>
      <c r="L23" s="13">
        <f>3521201*85%</f>
        <v>2993020.85</v>
      </c>
      <c r="M23" s="20"/>
      <c r="N23" s="20"/>
      <c r="O23" s="13"/>
      <c r="P23" s="13"/>
      <c r="Q23" s="13"/>
      <c r="R23" s="13"/>
      <c r="S23" s="13"/>
      <c r="T23" s="13"/>
    </row>
    <row r="24" spans="1:26" ht="25.5">
      <c r="B24" s="16" t="s">
        <v>42</v>
      </c>
      <c r="C24" s="16" t="s">
        <v>41</v>
      </c>
      <c r="D24" s="13">
        <v>2500000</v>
      </c>
      <c r="E24" s="13">
        <f>D24-F24</f>
        <v>375000</v>
      </c>
      <c r="F24" s="13">
        <f>D24*85%</f>
        <v>2125000</v>
      </c>
      <c r="G24" s="13"/>
      <c r="H24" s="13"/>
      <c r="I24" s="17"/>
      <c r="J24" s="17"/>
      <c r="K24" s="13">
        <v>375000</v>
      </c>
      <c r="L24" s="13">
        <v>2125000</v>
      </c>
      <c r="M24" s="13"/>
      <c r="N24" s="13"/>
      <c r="O24" s="13"/>
      <c r="P24" s="13"/>
      <c r="Q24" s="13"/>
      <c r="R24" s="13"/>
      <c r="S24" s="13"/>
      <c r="T24" s="13"/>
    </row>
    <row r="25" spans="1:26" ht="25.5">
      <c r="B25" s="16" t="s">
        <v>43</v>
      </c>
      <c r="C25" s="16" t="s">
        <v>41</v>
      </c>
      <c r="D25" s="13">
        <v>3000000</v>
      </c>
      <c r="E25" s="13">
        <f>D25-F25</f>
        <v>450000</v>
      </c>
      <c r="F25" s="13">
        <f>D25*85%</f>
        <v>2550000</v>
      </c>
      <c r="G25" s="13"/>
      <c r="H25" s="13"/>
      <c r="I25" s="13"/>
      <c r="J25" s="13"/>
      <c r="K25" s="13"/>
      <c r="L25" s="13"/>
      <c r="M25" s="13">
        <v>450000</v>
      </c>
      <c r="N25" s="13">
        <v>2550000</v>
      </c>
      <c r="O25" s="13"/>
      <c r="P25" s="13"/>
      <c r="Q25" s="13"/>
      <c r="R25" s="13"/>
      <c r="S25" s="13"/>
      <c r="T25" s="13"/>
    </row>
    <row r="26" spans="1:26" ht="25.5">
      <c r="B26" s="16" t="s">
        <v>44</v>
      </c>
      <c r="C26" s="16" t="s">
        <v>41</v>
      </c>
      <c r="D26" s="13">
        <v>2700000</v>
      </c>
      <c r="E26" s="13">
        <f>D26-F26</f>
        <v>405000</v>
      </c>
      <c r="F26" s="13">
        <f>D26*85%</f>
        <v>2295000</v>
      </c>
      <c r="G26" s="20"/>
      <c r="H26" s="20"/>
      <c r="I26" s="13"/>
      <c r="J26" s="13"/>
      <c r="K26" s="13"/>
      <c r="L26" s="13"/>
      <c r="M26" s="13"/>
      <c r="N26" s="13"/>
      <c r="O26" s="13">
        <v>405000</v>
      </c>
      <c r="P26" s="13">
        <v>2295000</v>
      </c>
      <c r="Q26" s="13"/>
      <c r="R26" s="13"/>
      <c r="S26" s="13"/>
      <c r="T26" s="13"/>
    </row>
    <row r="27" spans="1:26" ht="25.5">
      <c r="B27" s="16" t="s">
        <v>45</v>
      </c>
      <c r="C27" s="16" t="s">
        <v>41</v>
      </c>
      <c r="D27" s="13">
        <v>2600000</v>
      </c>
      <c r="E27" s="13">
        <f>D27-F27</f>
        <v>390000</v>
      </c>
      <c r="F27" s="13">
        <f>D27*85%</f>
        <v>2210000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390000</v>
      </c>
      <c r="R27" s="13">
        <v>2210000</v>
      </c>
      <c r="S27" s="13"/>
      <c r="T27" s="13"/>
    </row>
    <row r="28" spans="1:26" ht="51.75" customHeight="1">
      <c r="B28" s="16" t="s">
        <v>59</v>
      </c>
      <c r="C28" s="16" t="s">
        <v>46</v>
      </c>
      <c r="D28" s="13">
        <v>700000</v>
      </c>
      <c r="E28" s="13">
        <f>I28*4</f>
        <v>80000</v>
      </c>
      <c r="F28" s="13">
        <f>D28-E28</f>
        <v>620000</v>
      </c>
      <c r="G28" s="17"/>
      <c r="H28" s="17"/>
      <c r="I28" s="17">
        <v>20000</v>
      </c>
      <c r="J28" s="17">
        <f>F28/4</f>
        <v>155000</v>
      </c>
      <c r="K28" s="17">
        <v>20000</v>
      </c>
      <c r="L28" s="17">
        <f>J28</f>
        <v>155000</v>
      </c>
      <c r="M28" s="17">
        <v>20000</v>
      </c>
      <c r="N28" s="17">
        <f>J28</f>
        <v>155000</v>
      </c>
      <c r="O28" s="17">
        <v>20000</v>
      </c>
      <c r="P28" s="17">
        <f>J28</f>
        <v>155000</v>
      </c>
      <c r="Q28" s="17"/>
      <c r="R28" s="17"/>
      <c r="S28" s="13"/>
      <c r="T28" s="13"/>
    </row>
    <row r="29" spans="1:26" s="37" customFormat="1" ht="21" customHeight="1">
      <c r="B29" s="52" t="s">
        <v>47</v>
      </c>
      <c r="C29" s="52"/>
      <c r="D29" s="38">
        <f t="shared" ref="D29:T29" si="2">SUM(D23:D28)</f>
        <v>22400351</v>
      </c>
      <c r="E29" s="38">
        <f t="shared" si="2"/>
        <v>3934506</v>
      </c>
      <c r="F29" s="38">
        <f t="shared" si="2"/>
        <v>18465845</v>
      </c>
      <c r="G29" s="38">
        <f t="shared" si="2"/>
        <v>28944.400000000009</v>
      </c>
      <c r="H29" s="38">
        <f t="shared" si="2"/>
        <v>114355.59999999999</v>
      </c>
      <c r="I29" s="38">
        <f t="shared" si="2"/>
        <v>1453615.1000000006</v>
      </c>
      <c r="J29" s="38">
        <f t="shared" si="2"/>
        <v>5713467.8999999994</v>
      </c>
      <c r="K29" s="38">
        <f t="shared" si="2"/>
        <v>1166947.1499999999</v>
      </c>
      <c r="L29" s="38">
        <f t="shared" si="2"/>
        <v>5273020.8499999996</v>
      </c>
      <c r="M29" s="38">
        <f t="shared" si="2"/>
        <v>470000</v>
      </c>
      <c r="N29" s="38">
        <f t="shared" si="2"/>
        <v>2705000</v>
      </c>
      <c r="O29" s="38">
        <f t="shared" si="2"/>
        <v>425000</v>
      </c>
      <c r="P29" s="38">
        <f t="shared" si="2"/>
        <v>2450000</v>
      </c>
      <c r="Q29" s="38">
        <f t="shared" si="2"/>
        <v>390000</v>
      </c>
      <c r="R29" s="38">
        <f t="shared" si="2"/>
        <v>2210000</v>
      </c>
      <c r="S29" s="38">
        <f t="shared" si="2"/>
        <v>0</v>
      </c>
      <c r="T29" s="38">
        <f t="shared" si="2"/>
        <v>0</v>
      </c>
    </row>
    <row r="30" spans="1:26" ht="1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6" s="33" customFormat="1" ht="33" customHeight="1">
      <c r="B31" s="48" t="s">
        <v>48</v>
      </c>
      <c r="C31" s="48"/>
      <c r="D31" s="48" t="s">
        <v>1</v>
      </c>
      <c r="E31" s="48"/>
      <c r="F31" s="48"/>
      <c r="G31" s="49">
        <v>2016</v>
      </c>
      <c r="H31" s="49"/>
      <c r="I31" s="49">
        <v>2017</v>
      </c>
      <c r="J31" s="49"/>
      <c r="K31" s="49">
        <v>2018</v>
      </c>
      <c r="L31" s="49"/>
      <c r="M31" s="49">
        <v>2019</v>
      </c>
      <c r="N31" s="49"/>
      <c r="O31" s="49">
        <v>2020</v>
      </c>
      <c r="P31" s="49"/>
      <c r="Q31" s="49">
        <v>2021</v>
      </c>
      <c r="R31" s="49"/>
      <c r="S31" s="49">
        <v>2022</v>
      </c>
      <c r="T31" s="49"/>
    </row>
    <row r="32" spans="1:26" s="9" customFormat="1" ht="26.25">
      <c r="A32" s="6"/>
      <c r="B32" s="7" t="s">
        <v>2</v>
      </c>
      <c r="C32" s="8" t="s">
        <v>3</v>
      </c>
      <c r="D32" s="8" t="s">
        <v>4</v>
      </c>
      <c r="E32" s="8" t="s">
        <v>5</v>
      </c>
      <c r="F32" s="8" t="s">
        <v>6</v>
      </c>
      <c r="G32" s="8" t="s">
        <v>5</v>
      </c>
      <c r="H32" s="8" t="s">
        <v>6</v>
      </c>
      <c r="I32" s="8" t="s">
        <v>5</v>
      </c>
      <c r="J32" s="8" t="s">
        <v>6</v>
      </c>
      <c r="K32" s="8" t="s">
        <v>5</v>
      </c>
      <c r="L32" s="8" t="s">
        <v>6</v>
      </c>
      <c r="M32" s="8" t="s">
        <v>5</v>
      </c>
      <c r="N32" s="8" t="s">
        <v>6</v>
      </c>
      <c r="O32" s="8" t="s">
        <v>5</v>
      </c>
      <c r="P32" s="8" t="s">
        <v>6</v>
      </c>
      <c r="Q32" s="8" t="s">
        <v>5</v>
      </c>
      <c r="R32" s="8" t="s">
        <v>6</v>
      </c>
      <c r="S32" s="8" t="s">
        <v>5</v>
      </c>
      <c r="T32" s="8" t="s">
        <v>6</v>
      </c>
    </row>
    <row r="33" spans="2:20" ht="30.75" customHeight="1">
      <c r="B33" s="16" t="s">
        <v>49</v>
      </c>
      <c r="C33" s="16" t="s">
        <v>60</v>
      </c>
      <c r="D33" s="13">
        <f>E33+F33</f>
        <v>4715590</v>
      </c>
      <c r="E33" s="13">
        <v>1726672</v>
      </c>
      <c r="F33" s="13">
        <f>J33+L33</f>
        <v>2988918</v>
      </c>
      <c r="G33" s="20">
        <v>160630</v>
      </c>
      <c r="H33" s="20"/>
      <c r="I33" s="17">
        <v>126533</v>
      </c>
      <c r="J33" s="17">
        <v>310812</v>
      </c>
      <c r="K33" s="17">
        <v>664824</v>
      </c>
      <c r="L33" s="17">
        <v>2678106</v>
      </c>
      <c r="M33" s="13">
        <v>198733</v>
      </c>
      <c r="N33" s="13"/>
      <c r="O33" s="13">
        <v>193237</v>
      </c>
      <c r="P33" s="13"/>
      <c r="Q33" s="13">
        <v>191984</v>
      </c>
      <c r="R33" s="13"/>
      <c r="S33" s="13">
        <v>190731</v>
      </c>
      <c r="T33" s="13"/>
    </row>
    <row r="34" spans="2:20" ht="63.75">
      <c r="B34" s="16" t="s">
        <v>67</v>
      </c>
      <c r="C34" s="16" t="s">
        <v>50</v>
      </c>
      <c r="D34" s="13">
        <v>2820627</v>
      </c>
      <c r="E34" s="13">
        <f t="shared" ref="E34:E41" si="3">D34-F34</f>
        <v>470456</v>
      </c>
      <c r="F34" s="13">
        <v>2350171</v>
      </c>
      <c r="G34" s="13">
        <f>51394-H34</f>
        <v>11368.349999999999</v>
      </c>
      <c r="H34" s="13">
        <f>47089*85%</f>
        <v>40025.65</v>
      </c>
      <c r="I34" s="13">
        <f>85780-J34</f>
        <v>12867</v>
      </c>
      <c r="J34" s="13">
        <f>85780*85%</f>
        <v>72913</v>
      </c>
      <c r="K34" s="13">
        <f>2683453-L34</f>
        <v>446219.85000000009</v>
      </c>
      <c r="L34" s="13">
        <f>2632039*85%</f>
        <v>2237233.15</v>
      </c>
      <c r="M34" s="13"/>
      <c r="N34" s="13"/>
      <c r="O34" s="13"/>
      <c r="P34" s="13"/>
      <c r="Q34" s="13"/>
      <c r="R34" s="13"/>
      <c r="S34" s="13"/>
      <c r="T34" s="13"/>
    </row>
    <row r="35" spans="2:20" ht="25.5">
      <c r="B35" s="16" t="s">
        <v>51</v>
      </c>
      <c r="C35" s="16" t="s">
        <v>50</v>
      </c>
      <c r="D35" s="13">
        <v>2017429</v>
      </c>
      <c r="E35" s="13">
        <f t="shared" si="3"/>
        <v>330290.35000000009</v>
      </c>
      <c r="F35" s="13">
        <f>1984869*85%</f>
        <v>1687138.65</v>
      </c>
      <c r="G35" s="13">
        <f>442832-H35</f>
        <v>94100.799999999988</v>
      </c>
      <c r="H35" s="13">
        <f>410272*85%</f>
        <v>348731.2</v>
      </c>
      <c r="I35" s="17">
        <f>1574597-J35</f>
        <v>236189.55000000005</v>
      </c>
      <c r="J35" s="17">
        <f>1574597*85%</f>
        <v>1338407.45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31.5" customHeight="1">
      <c r="B36" s="16" t="s">
        <v>52</v>
      </c>
      <c r="C36" s="16" t="s">
        <v>11</v>
      </c>
      <c r="D36" s="13">
        <v>700000</v>
      </c>
      <c r="E36" s="13">
        <f t="shared" si="3"/>
        <v>254590</v>
      </c>
      <c r="F36" s="13">
        <f>D36*0.6363</f>
        <v>445410</v>
      </c>
      <c r="G36" s="13"/>
      <c r="H36" s="13"/>
      <c r="I36" s="13">
        <f>D36-J36</f>
        <v>254590</v>
      </c>
      <c r="J36" s="13">
        <f>D36*0.6363</f>
        <v>445410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32.1" customHeight="1">
      <c r="B37" s="16" t="s">
        <v>68</v>
      </c>
      <c r="C37" s="16" t="s">
        <v>11</v>
      </c>
      <c r="D37" s="13">
        <v>700000</v>
      </c>
      <c r="E37" s="13">
        <f t="shared" si="3"/>
        <v>254590</v>
      </c>
      <c r="F37" s="13">
        <f>D37*0.6363</f>
        <v>445410</v>
      </c>
      <c r="G37" s="13"/>
      <c r="H37" s="13"/>
      <c r="I37" s="13"/>
      <c r="J37" s="13"/>
      <c r="K37" s="13">
        <f>E37</f>
        <v>254590</v>
      </c>
      <c r="L37" s="13">
        <f>F37</f>
        <v>445410</v>
      </c>
      <c r="M37" s="13"/>
      <c r="N37" s="13"/>
      <c r="O37" s="13"/>
      <c r="P37" s="13"/>
      <c r="Q37" s="13"/>
      <c r="R37" s="13"/>
      <c r="S37" s="13"/>
      <c r="T37" s="13"/>
    </row>
    <row r="38" spans="2:20" ht="32.1" customHeight="1">
      <c r="B38" s="16" t="s">
        <v>61</v>
      </c>
      <c r="C38" s="16" t="s">
        <v>62</v>
      </c>
      <c r="D38" s="13">
        <v>100000</v>
      </c>
      <c r="E38" s="13">
        <f t="shared" si="3"/>
        <v>36370</v>
      </c>
      <c r="F38" s="13">
        <f>D38*0.6363</f>
        <v>63630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>E38</f>
        <v>36370</v>
      </c>
      <c r="R38" s="13">
        <f>F38</f>
        <v>63630</v>
      </c>
      <c r="S38" s="13"/>
      <c r="T38" s="13"/>
    </row>
    <row r="39" spans="2:20" ht="32.1" customHeight="1">
      <c r="B39" s="39" t="s">
        <v>64</v>
      </c>
      <c r="C39" s="16"/>
      <c r="D39" s="13">
        <v>50000</v>
      </c>
      <c r="E39" s="13">
        <f>D39-F39</f>
        <v>50000</v>
      </c>
      <c r="F39" s="13"/>
      <c r="G39" s="13"/>
      <c r="H39" s="13"/>
      <c r="I39" s="13"/>
      <c r="J39" s="13"/>
      <c r="K39" s="13"/>
      <c r="L39" s="13"/>
      <c r="M39" s="13"/>
      <c r="N39" s="13"/>
      <c r="O39" s="13">
        <f>E39</f>
        <v>50000</v>
      </c>
      <c r="P39" s="13"/>
      <c r="Q39" s="13"/>
      <c r="R39" s="13"/>
      <c r="S39" s="13"/>
      <c r="T39" s="13"/>
    </row>
    <row r="40" spans="2:20" ht="31.35" customHeight="1">
      <c r="B40" s="39" t="s">
        <v>53</v>
      </c>
      <c r="C40" s="40" t="s">
        <v>54</v>
      </c>
      <c r="D40" s="13">
        <v>2000000</v>
      </c>
      <c r="E40" s="13">
        <f t="shared" si="3"/>
        <v>1340000</v>
      </c>
      <c r="F40" s="13">
        <f>D40*0.33</f>
        <v>660000</v>
      </c>
      <c r="G40" s="13"/>
      <c r="H40" s="13"/>
      <c r="I40" s="13"/>
      <c r="J40" s="13"/>
      <c r="K40" s="13"/>
      <c r="L40" s="13"/>
      <c r="M40" s="13"/>
      <c r="N40" s="13"/>
      <c r="O40" s="13">
        <f>D40-P40</f>
        <v>1340000</v>
      </c>
      <c r="P40" s="13">
        <f>D40*0.33</f>
        <v>660000</v>
      </c>
      <c r="Q40" s="13"/>
      <c r="R40" s="13"/>
      <c r="S40" s="13"/>
      <c r="T40" s="13"/>
    </row>
    <row r="41" spans="2:20" ht="30.6" customHeight="1">
      <c r="B41" s="16" t="s">
        <v>55</v>
      </c>
      <c r="C41" s="16" t="s">
        <v>11</v>
      </c>
      <c r="D41" s="13">
        <v>300000</v>
      </c>
      <c r="E41" s="22">
        <f t="shared" si="3"/>
        <v>109110</v>
      </c>
      <c r="F41" s="13">
        <f>D41*0.6363</f>
        <v>190890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2"/>
      <c r="R41" s="13"/>
      <c r="S41" s="13">
        <v>109110</v>
      </c>
      <c r="T41" s="13">
        <v>190890</v>
      </c>
    </row>
    <row r="42" spans="2:20" ht="39" customHeight="1">
      <c r="B42" s="16" t="s">
        <v>56</v>
      </c>
      <c r="C42" s="16" t="s">
        <v>69</v>
      </c>
      <c r="D42" s="13">
        <v>152520</v>
      </c>
      <c r="E42" s="13">
        <f>D42-F42</f>
        <v>122520</v>
      </c>
      <c r="F42" s="13">
        <v>30000</v>
      </c>
      <c r="G42" s="13">
        <f>E42</f>
        <v>122520</v>
      </c>
      <c r="H42" s="13">
        <f>F42</f>
        <v>30000</v>
      </c>
      <c r="I42" s="13"/>
      <c r="J42" s="13"/>
      <c r="K42" s="13"/>
      <c r="L42" s="13"/>
      <c r="M42" s="13"/>
      <c r="N42" s="13"/>
      <c r="O42" s="13"/>
      <c r="P42" s="17"/>
      <c r="Q42" s="13"/>
      <c r="R42" s="13"/>
      <c r="S42" s="13"/>
      <c r="T42" s="13"/>
    </row>
    <row r="43" spans="2:20" s="37" customFormat="1" ht="25.5" customHeight="1">
      <c r="B43" s="52" t="s">
        <v>57</v>
      </c>
      <c r="C43" s="52"/>
      <c r="D43" s="38">
        <f t="shared" ref="D43:T43" si="4">SUM(D33:D42)</f>
        <v>13556166</v>
      </c>
      <c r="E43" s="38">
        <f t="shared" si="4"/>
        <v>4694598.3499999996</v>
      </c>
      <c r="F43" s="38">
        <f t="shared" si="4"/>
        <v>8861567.6500000004</v>
      </c>
      <c r="G43" s="38">
        <f t="shared" si="4"/>
        <v>388619.15</v>
      </c>
      <c r="H43" s="38">
        <f t="shared" si="4"/>
        <v>418756.85000000003</v>
      </c>
      <c r="I43" s="38">
        <f t="shared" si="4"/>
        <v>630179.55000000005</v>
      </c>
      <c r="J43" s="38">
        <f t="shared" si="4"/>
        <v>2167542.4500000002</v>
      </c>
      <c r="K43" s="38">
        <f>SUM(K33:K42)</f>
        <v>1365633.85</v>
      </c>
      <c r="L43" s="38">
        <f>SUM(L33:L42)</f>
        <v>5360749.1500000004</v>
      </c>
      <c r="M43" s="38">
        <f t="shared" si="4"/>
        <v>198733</v>
      </c>
      <c r="N43" s="38">
        <f t="shared" si="4"/>
        <v>0</v>
      </c>
      <c r="O43" s="38">
        <f t="shared" si="4"/>
        <v>1583237</v>
      </c>
      <c r="P43" s="38">
        <f t="shared" si="4"/>
        <v>660000</v>
      </c>
      <c r="Q43" s="38">
        <f t="shared" si="4"/>
        <v>228354</v>
      </c>
      <c r="R43" s="38">
        <f t="shared" si="4"/>
        <v>63630</v>
      </c>
      <c r="S43" s="38">
        <f t="shared" si="4"/>
        <v>299841</v>
      </c>
      <c r="T43" s="38">
        <f t="shared" si="4"/>
        <v>190890</v>
      </c>
    </row>
    <row r="44" spans="2:20" ht="27.75" customHeight="1" thickBot="1">
      <c r="B44" s="2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2:20" ht="29.25" customHeight="1" thickTop="1">
      <c r="B45" s="57" t="s">
        <v>58</v>
      </c>
      <c r="C45" s="58"/>
      <c r="D45" s="63" t="s">
        <v>1</v>
      </c>
      <c r="E45" s="63"/>
      <c r="F45" s="63"/>
      <c r="G45" s="55">
        <v>2016</v>
      </c>
      <c r="H45" s="55"/>
      <c r="I45" s="55">
        <v>2017</v>
      </c>
      <c r="J45" s="55"/>
      <c r="K45" s="55">
        <v>2018</v>
      </c>
      <c r="L45" s="55"/>
      <c r="M45" s="55">
        <v>2019</v>
      </c>
      <c r="N45" s="55"/>
      <c r="O45" s="55">
        <v>2020</v>
      </c>
      <c r="P45" s="55"/>
      <c r="Q45" s="55">
        <v>2021</v>
      </c>
      <c r="R45" s="55"/>
      <c r="S45" s="55">
        <v>2022</v>
      </c>
      <c r="T45" s="56"/>
    </row>
    <row r="46" spans="2:20" ht="25.5">
      <c r="B46" s="59"/>
      <c r="C46" s="60"/>
      <c r="D46" s="12" t="s">
        <v>4</v>
      </c>
      <c r="E46" s="12" t="s">
        <v>5</v>
      </c>
      <c r="F46" s="12" t="s">
        <v>6</v>
      </c>
      <c r="G46" s="12" t="s">
        <v>5</v>
      </c>
      <c r="H46" s="12" t="s">
        <v>6</v>
      </c>
      <c r="I46" s="12" t="s">
        <v>5</v>
      </c>
      <c r="J46" s="12" t="s">
        <v>6</v>
      </c>
      <c r="K46" s="12" t="s">
        <v>5</v>
      </c>
      <c r="L46" s="12" t="s">
        <v>6</v>
      </c>
      <c r="M46" s="12" t="s">
        <v>5</v>
      </c>
      <c r="N46" s="12" t="s">
        <v>6</v>
      </c>
      <c r="O46" s="12" t="s">
        <v>5</v>
      </c>
      <c r="P46" s="12" t="s">
        <v>6</v>
      </c>
      <c r="Q46" s="12" t="s">
        <v>5</v>
      </c>
      <c r="R46" s="12" t="s">
        <v>6</v>
      </c>
      <c r="S46" s="12" t="s">
        <v>5</v>
      </c>
      <c r="T46" s="24" t="s">
        <v>6</v>
      </c>
    </row>
    <row r="47" spans="2:20" ht="18.75" customHeight="1" thickBot="1">
      <c r="B47" s="61"/>
      <c r="C47" s="62"/>
      <c r="D47" s="25">
        <f t="shared" ref="D47:T47" si="5">D19+D29+D43</f>
        <v>50841615.616002142</v>
      </c>
      <c r="E47" s="25">
        <f t="shared" si="5"/>
        <v>13761459.0484</v>
      </c>
      <c r="F47" s="25">
        <f t="shared" si="5"/>
        <v>37080156.567602143</v>
      </c>
      <c r="G47" s="25">
        <f t="shared" si="5"/>
        <v>712925.97</v>
      </c>
      <c r="H47" s="25">
        <f t="shared" si="5"/>
        <v>816892.03</v>
      </c>
      <c r="I47" s="25">
        <f t="shared" si="5"/>
        <v>3501781.9284000006</v>
      </c>
      <c r="J47" s="25">
        <f t="shared" si="5"/>
        <v>11391419.071599998</v>
      </c>
      <c r="K47" s="25">
        <f t="shared" si="5"/>
        <v>4655208</v>
      </c>
      <c r="L47" s="25">
        <f t="shared" si="5"/>
        <v>14795193</v>
      </c>
      <c r="M47" s="25">
        <f t="shared" si="5"/>
        <v>1305111</v>
      </c>
      <c r="N47" s="25">
        <f t="shared" si="5"/>
        <v>3466566.6540005351</v>
      </c>
      <c r="O47" s="25">
        <f t="shared" si="5"/>
        <v>2228237</v>
      </c>
      <c r="P47" s="25">
        <f t="shared" si="5"/>
        <v>3455188.6540005351</v>
      </c>
      <c r="Q47" s="25">
        <f t="shared" si="5"/>
        <v>838354</v>
      </c>
      <c r="R47" s="25">
        <f t="shared" si="5"/>
        <v>2618818.6540005351</v>
      </c>
      <c r="S47" s="25">
        <f t="shared" si="5"/>
        <v>519841</v>
      </c>
      <c r="T47" s="26">
        <f t="shared" si="5"/>
        <v>536078.65400053526</v>
      </c>
    </row>
    <row r="48" spans="2:20" ht="15" thickTop="1"/>
  </sheetData>
  <sheetProtection selectLockedCells="1" selectUnlockedCells="1"/>
  <mergeCells count="40">
    <mergeCell ref="O45:P45"/>
    <mergeCell ref="O21:P21"/>
    <mergeCell ref="B19:C19"/>
    <mergeCell ref="B3:C3"/>
    <mergeCell ref="S21:T21"/>
    <mergeCell ref="M31:N31"/>
    <mergeCell ref="Q45:R45"/>
    <mergeCell ref="S45:T45"/>
    <mergeCell ref="B45:C47"/>
    <mergeCell ref="O31:P31"/>
    <mergeCell ref="Q31:R31"/>
    <mergeCell ref="S31:T31"/>
    <mergeCell ref="B43:C43"/>
    <mergeCell ref="D45:F45"/>
    <mergeCell ref="G45:H45"/>
    <mergeCell ref="I45:J45"/>
    <mergeCell ref="K45:L45"/>
    <mergeCell ref="M45:N45"/>
    <mergeCell ref="Q21:R21"/>
    <mergeCell ref="M21:N21"/>
    <mergeCell ref="B29:C29"/>
    <mergeCell ref="B31:C31"/>
    <mergeCell ref="D31:F31"/>
    <mergeCell ref="G31:H31"/>
    <mergeCell ref="I31:J31"/>
    <mergeCell ref="K31:L31"/>
    <mergeCell ref="B21:C21"/>
    <mergeCell ref="D21:F21"/>
    <mergeCell ref="G21:H21"/>
    <mergeCell ref="I21:J21"/>
    <mergeCell ref="K21:L21"/>
    <mergeCell ref="D3:F3"/>
    <mergeCell ref="G3:H3"/>
    <mergeCell ref="I3:J3"/>
    <mergeCell ref="P1:T1"/>
    <mergeCell ref="M3:N3"/>
    <mergeCell ref="O3:P3"/>
    <mergeCell ref="Q3:R3"/>
    <mergeCell ref="S3:T3"/>
    <mergeCell ref="K3:L3"/>
  </mergeCells>
  <pageMargins left="0.31527777777777777" right="0.31527777777777777" top="0.35416666666666669" bottom="0.35416666666666669" header="0.51180555555555551" footer="0.51180555555555551"/>
  <pageSetup paperSize="9" scale="6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2016-08-22T12:12:17Z</cp:lastPrinted>
  <dcterms:created xsi:type="dcterms:W3CDTF">2015-09-08T06:22:31Z</dcterms:created>
  <dcterms:modified xsi:type="dcterms:W3CDTF">2016-08-22T12:41:15Z</dcterms:modified>
</cp:coreProperties>
</file>